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1475" windowHeight="5460" activeTab="1"/>
  </bookViews>
  <sheets>
    <sheet name="Cashflow" sheetId="1" r:id="rId1"/>
    <sheet name="Q1 workings" sheetId="4" r:id="rId2"/>
    <sheet name="Q2 workings" sheetId="5" r:id="rId3"/>
    <sheet name="Part 1 Q2" sheetId="6" r:id="rId4"/>
    <sheet name="part 2 Q2" sheetId="7" r:id="rId5"/>
  </sheets>
  <calcPr calcId="144525"/>
</workbook>
</file>

<file path=xl/calcChain.xml><?xml version="1.0" encoding="utf-8"?>
<calcChain xmlns="http://schemas.openxmlformats.org/spreadsheetml/2006/main">
  <c r="B13" i="7" l="1"/>
  <c r="C13" i="7"/>
  <c r="D13" i="7"/>
  <c r="E13" i="7"/>
  <c r="F13" i="7"/>
  <c r="G13" i="7"/>
  <c r="H13" i="7"/>
  <c r="I13" i="7"/>
  <c r="J13" i="7"/>
  <c r="K13" i="7"/>
  <c r="L13" i="7"/>
  <c r="M13" i="7"/>
  <c r="A13" i="7"/>
  <c r="E21" i="6"/>
  <c r="F21" i="6"/>
  <c r="G21" i="6"/>
  <c r="H21" i="6"/>
  <c r="I21" i="6"/>
  <c r="J21" i="6"/>
  <c r="K21" i="6"/>
  <c r="L21" i="6"/>
  <c r="M21" i="6"/>
  <c r="N21" i="6"/>
  <c r="O21" i="6"/>
  <c r="P21" i="6"/>
  <c r="D21" i="6"/>
  <c r="B21" i="6"/>
  <c r="F4" i="5"/>
  <c r="M12" i="7" l="1"/>
  <c r="J12" i="7"/>
  <c r="A12" i="7"/>
  <c r="G12" i="7"/>
  <c r="D12" i="7"/>
  <c r="N6" i="7"/>
  <c r="O6" i="7" s="1"/>
  <c r="N5" i="7"/>
  <c r="O5" i="7" s="1"/>
  <c r="N4" i="7"/>
  <c r="O4" i="7" s="1"/>
  <c r="O3" i="7"/>
  <c r="N3" i="7"/>
  <c r="O2" i="7"/>
  <c r="N2" i="7"/>
  <c r="L7" i="7"/>
  <c r="K6" i="7"/>
  <c r="L6" i="7" s="1"/>
  <c r="K5" i="7"/>
  <c r="L5" i="7" s="1"/>
  <c r="K4" i="7"/>
  <c r="L4" i="7" s="1"/>
  <c r="K3" i="7"/>
  <c r="L3" i="7" s="1"/>
  <c r="K2" i="7"/>
  <c r="L2" i="7" s="1"/>
  <c r="I7" i="7"/>
  <c r="F7" i="7"/>
  <c r="H6" i="7"/>
  <c r="H5" i="7"/>
  <c r="H4" i="7"/>
  <c r="I6" i="7"/>
  <c r="I5" i="7"/>
  <c r="I4" i="7"/>
  <c r="H3" i="7"/>
  <c r="I3" i="7" s="1"/>
  <c r="H2" i="7"/>
  <c r="I2" i="7" s="1"/>
  <c r="E6" i="7"/>
  <c r="F6" i="7" s="1"/>
  <c r="E5" i="7"/>
  <c r="F5" i="7" s="1"/>
  <c r="E4" i="7"/>
  <c r="F4" i="7" s="1"/>
  <c r="E3" i="7"/>
  <c r="F3" i="7" s="1"/>
  <c r="E2" i="7"/>
  <c r="F2" i="7" s="1"/>
  <c r="B6" i="7"/>
  <c r="B5" i="7"/>
  <c r="B4" i="7"/>
  <c r="B3" i="7"/>
  <c r="C3" i="7"/>
  <c r="C4" i="7"/>
  <c r="C5" i="7"/>
  <c r="C6" i="7"/>
  <c r="B7" i="7"/>
  <c r="B2" i="7"/>
  <c r="C2" i="7" s="1"/>
  <c r="D9" i="7"/>
  <c r="G9" i="7"/>
  <c r="J9" i="7"/>
  <c r="M9" i="7"/>
  <c r="A9" i="7"/>
  <c r="D7" i="7"/>
  <c r="G7" i="7"/>
  <c r="J7" i="7"/>
  <c r="M7" i="7"/>
  <c r="A7" i="7"/>
  <c r="Q3" i="6"/>
  <c r="R3" i="6" s="1"/>
  <c r="Q2" i="6"/>
  <c r="R2" i="6" s="1"/>
  <c r="P17" i="6"/>
  <c r="M17" i="6"/>
  <c r="N13" i="6" s="1"/>
  <c r="O13" i="6" s="1"/>
  <c r="J17" i="6"/>
  <c r="K13" i="6" s="1"/>
  <c r="L13" i="6" s="1"/>
  <c r="G17" i="6"/>
  <c r="H12" i="6" s="1"/>
  <c r="I12" i="6" s="1"/>
  <c r="D17" i="6"/>
  <c r="E12" i="6" s="1"/>
  <c r="F12" i="6" s="1"/>
  <c r="A17" i="6"/>
  <c r="B13" i="6" s="1"/>
  <c r="C13" i="6" s="1"/>
  <c r="B12" i="5"/>
  <c r="B13" i="5"/>
  <c r="B11" i="5"/>
  <c r="B10" i="5"/>
  <c r="B8" i="5"/>
  <c r="C9" i="5" s="1"/>
  <c r="B5" i="5"/>
  <c r="C6" i="5" s="1"/>
  <c r="B2" i="5"/>
  <c r="C21" i="1"/>
  <c r="C19" i="1"/>
  <c r="C17" i="1"/>
  <c r="C9" i="1"/>
  <c r="C11" i="1"/>
  <c r="C8" i="1"/>
  <c r="C6" i="1"/>
  <c r="C4" i="1"/>
  <c r="C5" i="1"/>
  <c r="B3" i="1"/>
  <c r="C2" i="5" l="1"/>
  <c r="O7" i="7"/>
  <c r="C7" i="7"/>
  <c r="H3" i="6"/>
  <c r="I3" i="6" s="1"/>
  <c r="H5" i="6"/>
  <c r="I5" i="6" s="1"/>
  <c r="H7" i="6"/>
  <c r="I7" i="6" s="1"/>
  <c r="H9" i="6"/>
  <c r="I9" i="6" s="1"/>
  <c r="H11" i="6"/>
  <c r="I11" i="6" s="1"/>
  <c r="H13" i="6"/>
  <c r="I13" i="6" s="1"/>
  <c r="K4" i="6"/>
  <c r="L4" i="6" s="1"/>
  <c r="K6" i="6"/>
  <c r="L6" i="6" s="1"/>
  <c r="K8" i="6"/>
  <c r="L8" i="6" s="1"/>
  <c r="K10" i="6"/>
  <c r="L10" i="6" s="1"/>
  <c r="K12" i="6"/>
  <c r="L12" i="6" s="1"/>
  <c r="N2" i="6"/>
  <c r="O2" i="6" s="1"/>
  <c r="N4" i="6"/>
  <c r="O4" i="6" s="1"/>
  <c r="N6" i="6"/>
  <c r="O6" i="6" s="1"/>
  <c r="N8" i="6"/>
  <c r="O8" i="6" s="1"/>
  <c r="N10" i="6"/>
  <c r="O10" i="6" s="1"/>
  <c r="N12" i="6"/>
  <c r="O12" i="6" s="1"/>
  <c r="O15" i="6" s="1"/>
  <c r="M19" i="6" s="1"/>
  <c r="H2" i="6"/>
  <c r="I2" i="6" s="1"/>
  <c r="H4" i="6"/>
  <c r="I4" i="6" s="1"/>
  <c r="H6" i="6"/>
  <c r="I6" i="6" s="1"/>
  <c r="H8" i="6"/>
  <c r="I8" i="6" s="1"/>
  <c r="H10" i="6"/>
  <c r="I10" i="6" s="1"/>
  <c r="K2" i="6"/>
  <c r="L2" i="6" s="1"/>
  <c r="K3" i="6"/>
  <c r="L3" i="6" s="1"/>
  <c r="K5" i="6"/>
  <c r="L5" i="6" s="1"/>
  <c r="K7" i="6"/>
  <c r="L7" i="6" s="1"/>
  <c r="K9" i="6"/>
  <c r="L9" i="6" s="1"/>
  <c r="K11" i="6"/>
  <c r="L11" i="6" s="1"/>
  <c r="L15" i="6" s="1"/>
  <c r="J19" i="6" s="1"/>
  <c r="N3" i="6"/>
  <c r="O3" i="6" s="1"/>
  <c r="N5" i="6"/>
  <c r="O5" i="6" s="1"/>
  <c r="N7" i="6"/>
  <c r="O7" i="6" s="1"/>
  <c r="N9" i="6"/>
  <c r="O9" i="6" s="1"/>
  <c r="N11" i="6"/>
  <c r="O11" i="6" s="1"/>
  <c r="E3" i="6"/>
  <c r="F3" i="6" s="1"/>
  <c r="E5" i="6"/>
  <c r="F5" i="6" s="1"/>
  <c r="E7" i="6"/>
  <c r="F7" i="6" s="1"/>
  <c r="E9" i="6"/>
  <c r="F9" i="6" s="1"/>
  <c r="E11" i="6"/>
  <c r="F11" i="6" s="1"/>
  <c r="E13" i="6"/>
  <c r="F13" i="6" s="1"/>
  <c r="E2" i="6"/>
  <c r="F2" i="6" s="1"/>
  <c r="E4" i="6"/>
  <c r="F4" i="6" s="1"/>
  <c r="E6" i="6"/>
  <c r="F6" i="6" s="1"/>
  <c r="E8" i="6"/>
  <c r="F8" i="6" s="1"/>
  <c r="E10" i="6"/>
  <c r="F10" i="6" s="1"/>
  <c r="B2" i="6"/>
  <c r="C2" i="6" s="1"/>
  <c r="B4" i="6"/>
  <c r="C4" i="6" s="1"/>
  <c r="B6" i="6"/>
  <c r="C6" i="6" s="1"/>
  <c r="B8" i="6"/>
  <c r="C8" i="6" s="1"/>
  <c r="B10" i="6"/>
  <c r="C10" i="6" s="1"/>
  <c r="B12" i="6"/>
  <c r="C12" i="6" s="1"/>
  <c r="B3" i="6"/>
  <c r="C3" i="6" s="1"/>
  <c r="B5" i="6"/>
  <c r="C5" i="6" s="1"/>
  <c r="B7" i="6"/>
  <c r="C7" i="6" s="1"/>
  <c r="B9" i="6"/>
  <c r="C9" i="6" s="1"/>
  <c r="B11" i="6"/>
  <c r="C11" i="6" s="1"/>
  <c r="B3" i="5"/>
  <c r="D2" i="5" s="1"/>
  <c r="I15" i="6" l="1"/>
  <c r="G19" i="6" s="1"/>
  <c r="F15" i="6"/>
  <c r="D19" i="6" s="1"/>
  <c r="C15" i="6"/>
  <c r="A19" i="6" s="1"/>
</calcChain>
</file>

<file path=xl/sharedStrings.xml><?xml version="1.0" encoding="utf-8"?>
<sst xmlns="http://schemas.openxmlformats.org/spreadsheetml/2006/main" count="61" uniqueCount="49">
  <si>
    <t>Credit sales</t>
  </si>
  <si>
    <t>Cash sales</t>
  </si>
  <si>
    <t>Total sales receipts</t>
  </si>
  <si>
    <t>Sales discount @ 4%</t>
  </si>
  <si>
    <t xml:space="preserve">Opereating activivities </t>
  </si>
  <si>
    <t xml:space="preserve">Taxes </t>
  </si>
  <si>
    <t>Cash from investing activities</t>
  </si>
  <si>
    <t>Purchases @55%</t>
  </si>
  <si>
    <t>Direct labour cost @15%</t>
  </si>
  <si>
    <t xml:space="preserve">Cash from financing activities </t>
  </si>
  <si>
    <t>Sales and administration overhead</t>
  </si>
  <si>
    <t xml:space="preserve">production overhead </t>
  </si>
  <si>
    <t xml:space="preserve">fixed assets paid </t>
  </si>
  <si>
    <t>Cash from operating activities</t>
  </si>
  <si>
    <t xml:space="preserve">Total cash from investing activites </t>
  </si>
  <si>
    <t xml:space="preserve">Total cash from financing activities </t>
  </si>
  <si>
    <t xml:space="preserve">Net increase/deacrease in cash </t>
  </si>
  <si>
    <t xml:space="preserve">Cash at the beginning of the year </t>
  </si>
  <si>
    <t xml:space="preserve">Cash at the end of the year </t>
  </si>
  <si>
    <t>Cashflow analysis for the year ended December 2020</t>
  </si>
  <si>
    <t>Net Cash Sales</t>
  </si>
  <si>
    <t>Receipts from credit sales</t>
  </si>
  <si>
    <t>TOTAL RECEIPTS</t>
  </si>
  <si>
    <t>LESS PAYMENTS</t>
  </si>
  <si>
    <t>30% of the purchases are paid for in the same month</t>
  </si>
  <si>
    <t>The balance (70%) is paid in the month after the purchase</t>
  </si>
  <si>
    <t>Direct Labour Costs</t>
  </si>
  <si>
    <t>Production Overheads</t>
  </si>
  <si>
    <t xml:space="preserve">Selling and Administration Overheads </t>
  </si>
  <si>
    <t>Tax</t>
  </si>
  <si>
    <t>Fixed Assets</t>
  </si>
  <si>
    <t>TOTAL PAYMENTS</t>
  </si>
  <si>
    <t>NET RECEIPTS/(PAYMENTS) FOR THE MONTH</t>
  </si>
  <si>
    <t>OPENING BALANCE</t>
  </si>
  <si>
    <t>CLOSING BALANCE</t>
  </si>
  <si>
    <t xml:space="preserve">mean </t>
  </si>
  <si>
    <t>y2</t>
  </si>
  <si>
    <t>standard deviation</t>
  </si>
  <si>
    <t>Jun</t>
  </si>
  <si>
    <t>Jul</t>
  </si>
  <si>
    <t>Aug</t>
  </si>
  <si>
    <t>Sep</t>
  </si>
  <si>
    <t>Oct</t>
  </si>
  <si>
    <t>mean</t>
  </si>
  <si>
    <t>X-1</t>
  </si>
  <si>
    <t>(X-1)^2</t>
  </si>
  <si>
    <t>STADARDS</t>
  </si>
  <si>
    <t>x</t>
  </si>
  <si>
    <t>Mean -x =y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</si>
</sst>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B050"/>
      <name val="Times New Roman"/>
      <family val="1"/>
    </font>
    <font>
      <b/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/>
      <sz val="12"/>
      <color rgb="FF00B050"/>
      <name val="Times New Roman"/>
      <family val="1"/>
    </font>
    <font>
      <b/>
      <sz val="16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3" fontId="4" fillId="0" borderId="0" xfId="1" applyFont="1"/>
    <xf numFmtId="43" fontId="4" fillId="0" borderId="0" xfId="0" applyNumberFormat="1" applyFont="1"/>
    <xf numFmtId="0" fontId="5" fillId="0" borderId="0" xfId="0" applyFont="1"/>
    <xf numFmtId="43" fontId="5" fillId="0" borderId="0" xfId="0" applyNumberFormat="1" applyFont="1"/>
    <xf numFmtId="0" fontId="6" fillId="0" borderId="0" xfId="0" applyFont="1"/>
    <xf numFmtId="43" fontId="6" fillId="0" borderId="0" xfId="0" applyNumberFormat="1" applyFont="1"/>
    <xf numFmtId="43" fontId="0" fillId="0" borderId="0" xfId="1" applyFont="1"/>
    <xf numFmtId="43" fontId="7" fillId="0" borderId="0" xfId="1" applyFont="1"/>
    <xf numFmtId="0" fontId="8" fillId="0" borderId="0" xfId="0" applyFont="1"/>
    <xf numFmtId="0" fontId="9" fillId="0" borderId="0" xfId="0" applyFont="1"/>
    <xf numFmtId="43" fontId="9" fillId="0" borderId="0" xfId="0" applyNumberFormat="1" applyFont="1"/>
    <xf numFmtId="0" fontId="10" fillId="0" borderId="0" xfId="0" applyFont="1" applyAlignment="1">
      <alignment vertical="center" wrapText="1"/>
    </xf>
    <xf numFmtId="0" fontId="0" fillId="0" borderId="0" xfId="0" applyAlignment="1">
      <alignment wrapText="1"/>
    </xf>
    <xf numFmtId="16" fontId="11" fillId="0" borderId="1" xfId="0" applyNumberFormat="1" applyFont="1" applyBorder="1" applyAlignment="1">
      <alignment horizontal="center" vertical="center"/>
    </xf>
    <xf numFmtId="16" fontId="11" fillId="0" borderId="2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3" fontId="0" fillId="0" borderId="0" xfId="0" applyNumberFormat="1"/>
    <xf numFmtId="0" fontId="12" fillId="3" borderId="3" xfId="0" applyFont="1" applyFill="1" applyBorder="1" applyAlignment="1">
      <alignment vertical="center" wrapText="1"/>
    </xf>
    <xf numFmtId="3" fontId="12" fillId="3" borderId="4" xfId="0" applyNumberFormat="1" applyFont="1" applyFill="1" applyBorder="1" applyAlignment="1">
      <alignment horizontal="right" vertical="center"/>
    </xf>
    <xf numFmtId="0" fontId="12" fillId="3" borderId="4" xfId="0" applyFont="1" applyFill="1" applyBorder="1" applyAlignment="1">
      <alignment horizontal="right" vertical="center"/>
    </xf>
    <xf numFmtId="0" fontId="12" fillId="3" borderId="4" xfId="0" applyFont="1" applyFill="1" applyBorder="1" applyAlignment="1">
      <alignment vertical="center"/>
    </xf>
    <xf numFmtId="0" fontId="0" fillId="3" borderId="0" xfId="0" applyFill="1"/>
    <xf numFmtId="0" fontId="12" fillId="3" borderId="5" xfId="0" applyFont="1" applyFill="1" applyBorder="1" applyAlignment="1">
      <alignment vertical="center" wrapText="1"/>
    </xf>
    <xf numFmtId="3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2" fillId="3" borderId="6" xfId="0" applyFont="1" applyFill="1" applyBorder="1" applyAlignment="1">
      <alignment vertical="center"/>
    </xf>
    <xf numFmtId="0" fontId="0" fillId="3" borderId="0" xfId="0" applyFill="1" applyAlignment="1">
      <alignment wrapText="1"/>
    </xf>
    <xf numFmtId="0" fontId="12" fillId="3" borderId="1" xfId="0" applyFont="1" applyFill="1" applyBorder="1" applyAlignment="1">
      <alignment horizontal="right" vertical="center"/>
    </xf>
    <xf numFmtId="0" fontId="12" fillId="3" borderId="2" xfId="0" applyFont="1" applyFill="1" applyBorder="1" applyAlignment="1">
      <alignment horizontal="right" vertical="center"/>
    </xf>
    <xf numFmtId="0" fontId="12" fillId="3" borderId="2" xfId="0" applyFont="1" applyFill="1" applyBorder="1" applyAlignment="1">
      <alignment vertical="center"/>
    </xf>
    <xf numFmtId="0" fontId="13" fillId="3" borderId="7" xfId="0" applyFont="1" applyFill="1" applyBorder="1" applyAlignment="1">
      <alignment vertical="center" wrapText="1"/>
    </xf>
    <xf numFmtId="3" fontId="13" fillId="3" borderId="8" xfId="0" applyNumberFormat="1" applyFont="1" applyFill="1" applyBorder="1" applyAlignment="1">
      <alignment horizontal="right" vertical="center"/>
    </xf>
    <xf numFmtId="0" fontId="12" fillId="3" borderId="9" xfId="0" applyFont="1" applyFill="1" applyBorder="1" applyAlignment="1">
      <alignment horizontal="right" vertical="center"/>
    </xf>
    <xf numFmtId="0" fontId="12" fillId="3" borderId="9" xfId="0" applyFont="1" applyFill="1" applyBorder="1" applyAlignment="1">
      <alignment vertical="center"/>
    </xf>
    <xf numFmtId="0" fontId="13" fillId="3" borderId="0" xfId="0" applyFont="1" applyFill="1" applyAlignment="1">
      <alignment vertical="center" wrapText="1"/>
    </xf>
    <xf numFmtId="0" fontId="13" fillId="3" borderId="3" xfId="0" applyFont="1" applyFill="1" applyBorder="1" applyAlignment="1">
      <alignment vertical="center" wrapText="1"/>
    </xf>
    <xf numFmtId="3" fontId="13" fillId="3" borderId="9" xfId="0" applyNumberFormat="1" applyFont="1" applyFill="1" applyBorder="1" applyAlignment="1">
      <alignment horizontal="right" vertical="center"/>
    </xf>
    <xf numFmtId="0" fontId="13" fillId="3" borderId="5" xfId="0" applyFont="1" applyFill="1" applyBorder="1" applyAlignment="1">
      <alignment vertical="center" wrapText="1"/>
    </xf>
    <xf numFmtId="3" fontId="13" fillId="3" borderId="6" xfId="0" applyNumberFormat="1" applyFont="1" applyFill="1" applyBorder="1" applyAlignment="1">
      <alignment horizontal="right" vertical="center"/>
    </xf>
    <xf numFmtId="0" fontId="13" fillId="3" borderId="6" xfId="0" applyFont="1" applyFill="1" applyBorder="1" applyAlignment="1">
      <alignment horizontal="right" vertical="center"/>
    </xf>
    <xf numFmtId="43" fontId="2" fillId="0" borderId="0" xfId="1" applyFont="1"/>
    <xf numFmtId="3" fontId="14" fillId="0" borderId="6" xfId="0" applyNumberFormat="1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3" fontId="15" fillId="0" borderId="6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0" fontId="0" fillId="4" borderId="0" xfId="0" applyFill="1"/>
    <xf numFmtId="3" fontId="14" fillId="4" borderId="6" xfId="0" applyNumberFormat="1" applyFont="1" applyFill="1" applyBorder="1" applyAlignment="1">
      <alignment horizontal="right" vertical="center"/>
    </xf>
    <xf numFmtId="0" fontId="14" fillId="4" borderId="6" xfId="0" applyFont="1" applyFill="1" applyBorder="1" applyAlignment="1">
      <alignment horizontal="right" vertical="center"/>
    </xf>
    <xf numFmtId="3" fontId="15" fillId="4" borderId="6" xfId="0" applyNumberFormat="1" applyFont="1" applyFill="1" applyBorder="1" applyAlignment="1">
      <alignment horizontal="right" vertical="center"/>
    </xf>
    <xf numFmtId="0" fontId="2" fillId="4" borderId="0" xfId="0" applyFont="1" applyFill="1"/>
    <xf numFmtId="0" fontId="0" fillId="2" borderId="0" xfId="0" applyFill="1"/>
    <xf numFmtId="3" fontId="14" fillId="2" borderId="6" xfId="0" applyNumberFormat="1" applyFont="1" applyFill="1" applyBorder="1" applyAlignment="1">
      <alignment horizontal="right" vertical="center"/>
    </xf>
    <xf numFmtId="0" fontId="14" fillId="2" borderId="6" xfId="0" applyFont="1" applyFill="1" applyBorder="1" applyAlignment="1">
      <alignment horizontal="right" vertical="center"/>
    </xf>
    <xf numFmtId="3" fontId="15" fillId="2" borderId="6" xfId="0" applyNumberFormat="1" applyFont="1" applyFill="1" applyBorder="1" applyAlignment="1">
      <alignment horizontal="right" vertical="center"/>
    </xf>
    <xf numFmtId="0" fontId="2" fillId="2" borderId="0" xfId="0" applyFont="1" applyFill="1"/>
    <xf numFmtId="3" fontId="15" fillId="5" borderId="6" xfId="0" applyNumberFormat="1" applyFont="1" applyFill="1" applyBorder="1" applyAlignment="1">
      <alignment horizontal="right" vertical="center"/>
    </xf>
    <xf numFmtId="3" fontId="6" fillId="5" borderId="6" xfId="0" applyNumberFormat="1" applyFont="1" applyFill="1" applyBorder="1" applyAlignment="1">
      <alignment horizontal="right" vertical="center"/>
    </xf>
    <xf numFmtId="0" fontId="0" fillId="6" borderId="0" xfId="0" applyFill="1"/>
    <xf numFmtId="3" fontId="14" fillId="6" borderId="6" xfId="0" applyNumberFormat="1" applyFont="1" applyFill="1" applyBorder="1" applyAlignment="1">
      <alignment horizontal="right" vertical="center"/>
    </xf>
    <xf numFmtId="0" fontId="14" fillId="6" borderId="6" xfId="0" applyFont="1" applyFill="1" applyBorder="1" applyAlignment="1">
      <alignment horizontal="right" vertical="center"/>
    </xf>
    <xf numFmtId="3" fontId="15" fillId="6" borderId="6" xfId="0" applyNumberFormat="1" applyFont="1" applyFill="1" applyBorder="1" applyAlignment="1">
      <alignment horizontal="right" vertical="center"/>
    </xf>
    <xf numFmtId="0" fontId="2" fillId="6" borderId="0" xfId="0" applyFont="1" applyFill="1"/>
    <xf numFmtId="0" fontId="15" fillId="0" borderId="5" xfId="0" applyFont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0" fillId="2" borderId="6" xfId="0" applyNumberFormat="1" applyFont="1" applyFill="1" applyBorder="1" applyAlignment="1">
      <alignment horizontal="right" vertical="center"/>
    </xf>
    <xf numFmtId="3" fontId="2" fillId="2" borderId="6" xfId="0" applyNumberFormat="1" applyFont="1" applyFill="1" applyBorder="1" applyAlignment="1">
      <alignment horizontal="right" vertical="center"/>
    </xf>
    <xf numFmtId="0" fontId="0" fillId="2" borderId="0" xfId="0" applyFont="1" applyFill="1"/>
    <xf numFmtId="0" fontId="15" fillId="7" borderId="5" xfId="0" applyFont="1" applyFill="1" applyBorder="1" applyAlignment="1">
      <alignment horizontal="center" vertical="center"/>
    </xf>
    <xf numFmtId="3" fontId="14" fillId="7" borderId="6" xfId="0" applyNumberFormat="1" applyFont="1" applyFill="1" applyBorder="1" applyAlignment="1">
      <alignment horizontal="right" vertical="center"/>
    </xf>
    <xf numFmtId="3" fontId="15" fillId="7" borderId="6" xfId="0" applyNumberFormat="1" applyFont="1" applyFill="1" applyBorder="1" applyAlignment="1">
      <alignment horizontal="right" vertical="center"/>
    </xf>
    <xf numFmtId="0" fontId="0" fillId="7" borderId="0" xfId="0" applyFill="1"/>
    <xf numFmtId="0" fontId="15" fillId="5" borderId="5" xfId="0" applyFont="1" applyFill="1" applyBorder="1" applyAlignment="1">
      <alignment horizontal="center" vertical="center"/>
    </xf>
    <xf numFmtId="3" fontId="14" fillId="5" borderId="6" xfId="0" applyNumberFormat="1" applyFont="1" applyFill="1" applyBorder="1" applyAlignment="1">
      <alignment horizontal="right" vertical="center"/>
    </xf>
    <xf numFmtId="0" fontId="0" fillId="5" borderId="0" xfId="0" applyFill="1"/>
    <xf numFmtId="3" fontId="2" fillId="0" borderId="0" xfId="0" applyNumberFormat="1" applyFont="1"/>
    <xf numFmtId="43" fontId="2" fillId="6" borderId="0" xfId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opLeftCell="A4" workbookViewId="0">
      <selection activeCell="C5" sqref="C5"/>
    </sheetView>
  </sheetViews>
  <sheetFormatPr defaultRowHeight="15" x14ac:dyDescent="0.25"/>
  <cols>
    <col min="1" max="1" width="52.42578125" bestFit="1" customWidth="1"/>
    <col min="2" max="2" width="12.7109375" bestFit="1" customWidth="1"/>
    <col min="3" max="3" width="13.5703125" bestFit="1" customWidth="1"/>
  </cols>
  <sheetData>
    <row r="1" spans="1:3" s="1" customFormat="1" ht="15.75" x14ac:dyDescent="0.25">
      <c r="A1" s="12" t="s">
        <v>19</v>
      </c>
      <c r="B1" s="2"/>
      <c r="C1" s="2"/>
    </row>
    <row r="2" spans="1:3" ht="15.75" x14ac:dyDescent="0.25">
      <c r="A2" s="2" t="s">
        <v>4</v>
      </c>
      <c r="B2" s="3"/>
      <c r="C2" s="3"/>
    </row>
    <row r="3" spans="1:3" ht="15.75" x14ac:dyDescent="0.25">
      <c r="A3" s="3" t="s">
        <v>2</v>
      </c>
      <c r="B3" s="4">
        <f>(194000+52000+82000+107000+220000)</f>
        <v>655000</v>
      </c>
      <c r="C3" s="3"/>
    </row>
    <row r="4" spans="1:3" ht="15.75" x14ac:dyDescent="0.25">
      <c r="A4" s="3" t="s">
        <v>0</v>
      </c>
      <c r="B4" s="4"/>
      <c r="C4" s="4">
        <f>(B3-C5)</f>
        <v>229250</v>
      </c>
    </row>
    <row r="5" spans="1:3" ht="15.75" x14ac:dyDescent="0.25">
      <c r="A5" s="3" t="s">
        <v>1</v>
      </c>
      <c r="B5" s="3"/>
      <c r="C5" s="4">
        <f>(65%*655000)</f>
        <v>425750</v>
      </c>
    </row>
    <row r="6" spans="1:3" ht="15.75" x14ac:dyDescent="0.25">
      <c r="A6" s="3" t="s">
        <v>3</v>
      </c>
      <c r="B6" s="3"/>
      <c r="C6" s="4">
        <f>-(4%*C5)</f>
        <v>-17030</v>
      </c>
    </row>
    <row r="7" spans="1:3" ht="15.75" x14ac:dyDescent="0.25">
      <c r="A7" s="3" t="s">
        <v>5</v>
      </c>
      <c r="B7" s="3"/>
      <c r="C7" s="4">
        <v>-11000</v>
      </c>
    </row>
    <row r="8" spans="1:3" ht="15.75" x14ac:dyDescent="0.25">
      <c r="A8" s="3" t="s">
        <v>8</v>
      </c>
      <c r="B8" s="3"/>
      <c r="C8" s="4">
        <f>-(15%*B3)</f>
        <v>-98250</v>
      </c>
    </row>
    <row r="9" spans="1:3" s="8" customFormat="1" ht="15.75" x14ac:dyDescent="0.25">
      <c r="A9" s="6" t="s">
        <v>13</v>
      </c>
      <c r="B9" s="6"/>
      <c r="C9" s="7">
        <f>(C4+C5+C6+C7+C8)</f>
        <v>528720</v>
      </c>
    </row>
    <row r="10" spans="1:3" ht="15.75" x14ac:dyDescent="0.25">
      <c r="A10" s="2" t="s">
        <v>6</v>
      </c>
      <c r="B10" s="3"/>
      <c r="C10" s="3"/>
    </row>
    <row r="11" spans="1:3" ht="15.75" x14ac:dyDescent="0.25">
      <c r="A11" s="3" t="s">
        <v>7</v>
      </c>
      <c r="B11" s="3"/>
      <c r="C11" s="4">
        <f>-(55%*B3)</f>
        <v>-360250</v>
      </c>
    </row>
    <row r="12" spans="1:3" s="8" customFormat="1" ht="15.75" x14ac:dyDescent="0.25">
      <c r="A12" s="6" t="s">
        <v>14</v>
      </c>
      <c r="B12" s="6"/>
      <c r="C12" s="7">
        <v>-360250</v>
      </c>
    </row>
    <row r="13" spans="1:3" ht="15.75" x14ac:dyDescent="0.25">
      <c r="A13" s="2" t="s">
        <v>9</v>
      </c>
      <c r="B13" s="3"/>
      <c r="C13" s="3"/>
    </row>
    <row r="14" spans="1:3" ht="15.75" x14ac:dyDescent="0.25">
      <c r="A14" s="3" t="s">
        <v>10</v>
      </c>
      <c r="B14" s="3"/>
      <c r="C14" s="4">
        <v>-4500</v>
      </c>
    </row>
    <row r="15" spans="1:3" ht="15.75" x14ac:dyDescent="0.25">
      <c r="A15" s="3" t="s">
        <v>11</v>
      </c>
      <c r="B15" s="3"/>
      <c r="C15" s="4">
        <v>-6500</v>
      </c>
    </row>
    <row r="16" spans="1:3" ht="15.75" x14ac:dyDescent="0.25">
      <c r="A16" s="3" t="s">
        <v>12</v>
      </c>
      <c r="B16" s="3"/>
      <c r="C16" s="4">
        <v>-95000</v>
      </c>
    </row>
    <row r="17" spans="1:3" s="8" customFormat="1" ht="15.75" x14ac:dyDescent="0.25">
      <c r="A17" s="6" t="s">
        <v>15</v>
      </c>
      <c r="C17" s="9">
        <f>(C14+C15+C16)</f>
        <v>-106000</v>
      </c>
    </row>
    <row r="19" spans="1:3" ht="15.75" x14ac:dyDescent="0.25">
      <c r="A19" s="3" t="s">
        <v>16</v>
      </c>
      <c r="B19" s="3"/>
      <c r="C19" s="5">
        <f>(C9+C12+C17)</f>
        <v>62470</v>
      </c>
    </row>
    <row r="20" spans="1:3" s="11" customFormat="1" ht="15.75" x14ac:dyDescent="0.25">
      <c r="A20" s="4" t="s">
        <v>17</v>
      </c>
      <c r="C20" s="11">
        <v>15700</v>
      </c>
    </row>
    <row r="21" spans="1:3" s="13" customFormat="1" ht="15.75" x14ac:dyDescent="0.25">
      <c r="A21" s="13" t="s">
        <v>18</v>
      </c>
      <c r="C21" s="14">
        <f>(C19+C20)</f>
        <v>78170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16" workbookViewId="0">
      <selection activeCell="G20" sqref="G20"/>
    </sheetView>
  </sheetViews>
  <sheetFormatPr defaultRowHeight="15" x14ac:dyDescent="0.25"/>
  <cols>
    <col min="2" max="2" width="8.42578125" bestFit="1" customWidth="1"/>
    <col min="3" max="3" width="9.28515625" bestFit="1" customWidth="1"/>
  </cols>
  <sheetData>
    <row r="1" spans="1:5" ht="21" x14ac:dyDescent="0.25">
      <c r="A1" s="15"/>
    </row>
    <row r="2" spans="1:5" x14ac:dyDescent="0.25">
      <c r="A2" s="16"/>
    </row>
    <row r="3" spans="1:5" ht="18.75" x14ac:dyDescent="0.25">
      <c r="A3" s="16"/>
      <c r="B3" s="17">
        <v>44032</v>
      </c>
      <c r="C3" s="18">
        <v>44063</v>
      </c>
      <c r="D3" s="18">
        <v>44094</v>
      </c>
      <c r="E3" s="18">
        <v>44124</v>
      </c>
    </row>
    <row r="4" spans="1:5" ht="16.5" thickBot="1" x14ac:dyDescent="0.3">
      <c r="A4" s="16"/>
      <c r="B4" s="19"/>
      <c r="C4" s="20"/>
      <c r="D4" s="20"/>
      <c r="E4" s="20"/>
    </row>
    <row r="5" spans="1:5" s="26" customFormat="1" ht="48" thickBot="1" x14ac:dyDescent="0.3">
      <c r="A5" s="22" t="s">
        <v>20</v>
      </c>
      <c r="B5" s="23">
        <v>29952</v>
      </c>
      <c r="C5" s="24"/>
      <c r="D5" s="25"/>
      <c r="E5" s="25"/>
    </row>
    <row r="6" spans="1:5" ht="63.75" thickBot="1" x14ac:dyDescent="0.3">
      <c r="A6" s="27" t="s">
        <v>21</v>
      </c>
      <c r="B6" s="28">
        <v>77600</v>
      </c>
      <c r="C6" s="29"/>
      <c r="D6" s="30"/>
      <c r="E6" s="30"/>
    </row>
    <row r="7" spans="1:5" ht="16.5" thickBot="1" x14ac:dyDescent="0.3">
      <c r="A7" s="31"/>
      <c r="B7" s="32"/>
      <c r="C7" s="33"/>
      <c r="D7" s="34"/>
      <c r="E7" s="34"/>
    </row>
    <row r="8" spans="1:5" ht="48" thickBot="1" x14ac:dyDescent="0.3">
      <c r="A8" s="35" t="s">
        <v>22</v>
      </c>
      <c r="B8" s="36">
        <v>107552</v>
      </c>
      <c r="C8" s="37"/>
      <c r="D8" s="38"/>
      <c r="E8" s="38"/>
    </row>
    <row r="9" spans="1:5" ht="15.75" x14ac:dyDescent="0.25">
      <c r="A9" s="31"/>
      <c r="B9" s="32"/>
      <c r="C9" s="33"/>
      <c r="D9" s="34"/>
      <c r="E9" s="34"/>
    </row>
    <row r="10" spans="1:5" ht="48" thickBot="1" x14ac:dyDescent="0.3">
      <c r="A10" s="39" t="s">
        <v>23</v>
      </c>
      <c r="B10" s="32"/>
      <c r="C10" s="33"/>
      <c r="D10" s="34"/>
      <c r="E10" s="34"/>
    </row>
    <row r="11" spans="1:5" ht="126.75" thickBot="1" x14ac:dyDescent="0.3">
      <c r="A11" s="22" t="s">
        <v>24</v>
      </c>
      <c r="B11" s="23">
        <v>8580</v>
      </c>
      <c r="C11" s="24"/>
      <c r="D11" s="25"/>
      <c r="E11" s="25"/>
    </row>
    <row r="12" spans="1:5" ht="126.75" thickBot="1" x14ac:dyDescent="0.3">
      <c r="A12" s="27" t="s">
        <v>25</v>
      </c>
      <c r="B12" s="28">
        <v>74690</v>
      </c>
      <c r="C12" s="29"/>
      <c r="D12" s="30"/>
      <c r="E12" s="30"/>
    </row>
    <row r="13" spans="1:5" ht="48" thickBot="1" x14ac:dyDescent="0.3">
      <c r="A13" s="27" t="s">
        <v>26</v>
      </c>
      <c r="B13" s="28">
        <v>7800</v>
      </c>
      <c r="C13" s="29"/>
      <c r="D13" s="30"/>
      <c r="E13" s="30"/>
    </row>
    <row r="14" spans="1:5" ht="63.75" thickBot="1" x14ac:dyDescent="0.3">
      <c r="A14" s="27" t="s">
        <v>27</v>
      </c>
      <c r="B14" s="28">
        <v>6500</v>
      </c>
      <c r="C14" s="29"/>
      <c r="D14" s="30"/>
      <c r="E14" s="30"/>
    </row>
    <row r="15" spans="1:5" ht="95.25" thickBot="1" x14ac:dyDescent="0.3">
      <c r="A15" s="27" t="s">
        <v>28</v>
      </c>
      <c r="B15" s="28">
        <v>4500</v>
      </c>
      <c r="C15" s="29"/>
      <c r="D15" s="30"/>
      <c r="E15" s="30"/>
    </row>
    <row r="16" spans="1:5" ht="16.5" thickBot="1" x14ac:dyDescent="0.3">
      <c r="A16" s="27" t="s">
        <v>29</v>
      </c>
      <c r="B16" s="33"/>
      <c r="C16" s="29"/>
      <c r="D16" s="34"/>
      <c r="E16" s="34"/>
    </row>
    <row r="17" spans="1:5" ht="32.25" thickBot="1" x14ac:dyDescent="0.3">
      <c r="A17" s="27" t="s">
        <v>30</v>
      </c>
      <c r="B17" s="33"/>
      <c r="C17" s="33"/>
      <c r="D17" s="25"/>
      <c r="E17" s="34"/>
    </row>
    <row r="18" spans="1:5" ht="16.5" thickBot="1" x14ac:dyDescent="0.3">
      <c r="A18" s="31"/>
      <c r="B18" s="32"/>
      <c r="C18" s="33"/>
      <c r="D18" s="34"/>
      <c r="E18" s="34"/>
    </row>
    <row r="19" spans="1:5" ht="48" thickBot="1" x14ac:dyDescent="0.3">
      <c r="A19" s="40" t="s">
        <v>31</v>
      </c>
      <c r="B19" s="41">
        <v>102070</v>
      </c>
      <c r="C19" s="37"/>
      <c r="D19" s="38"/>
      <c r="E19" s="38"/>
    </row>
    <row r="20" spans="1:5" ht="142.5" thickBot="1" x14ac:dyDescent="0.3">
      <c r="A20" s="42" t="s">
        <v>32</v>
      </c>
      <c r="B20" s="43">
        <v>5482</v>
      </c>
      <c r="C20" s="44"/>
      <c r="D20" s="30"/>
      <c r="E20" s="30"/>
    </row>
    <row r="21" spans="1:5" ht="63.75" thickBot="1" x14ac:dyDescent="0.3">
      <c r="A21" s="42" t="s">
        <v>33</v>
      </c>
      <c r="B21" s="43">
        <v>15700</v>
      </c>
      <c r="C21" s="43">
        <v>21182</v>
      </c>
      <c r="D21" s="30"/>
      <c r="E21" s="30"/>
    </row>
    <row r="22" spans="1:5" ht="63.75" thickBot="1" x14ac:dyDescent="0.3">
      <c r="A22" s="42" t="s">
        <v>34</v>
      </c>
      <c r="B22" s="43">
        <v>21182</v>
      </c>
      <c r="C22" s="44"/>
      <c r="D22" s="30"/>
      <c r="E22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F5" sqref="F5"/>
    </sheetView>
  </sheetViews>
  <sheetFormatPr defaultRowHeight="15" x14ac:dyDescent="0.25"/>
  <cols>
    <col min="1" max="2" width="11.5703125" bestFit="1" customWidth="1"/>
  </cols>
  <sheetData>
    <row r="2" spans="1:6" x14ac:dyDescent="0.25">
      <c r="A2" s="10">
        <v>107000</v>
      </c>
      <c r="B2">
        <f>(60%*A2)</f>
        <v>64200</v>
      </c>
      <c r="C2">
        <f>(A2-B2)</f>
        <v>42800</v>
      </c>
      <c r="D2">
        <f>(B2-B3)</f>
        <v>61632</v>
      </c>
    </row>
    <row r="3" spans="1:6" x14ac:dyDescent="0.25">
      <c r="B3">
        <f>(4%*B2)</f>
        <v>2568</v>
      </c>
    </row>
    <row r="4" spans="1:6" x14ac:dyDescent="0.25">
      <c r="B4" s="45"/>
      <c r="F4">
        <f>(D2+20368)</f>
        <v>82000</v>
      </c>
    </row>
    <row r="5" spans="1:6" x14ac:dyDescent="0.25">
      <c r="A5" s="21">
        <v>220000</v>
      </c>
      <c r="B5">
        <f>(55%*A5)</f>
        <v>121000.00000000001</v>
      </c>
    </row>
    <row r="6" spans="1:6" x14ac:dyDescent="0.25">
      <c r="C6">
        <f>(30%*B5)</f>
        <v>36300</v>
      </c>
    </row>
    <row r="8" spans="1:6" x14ac:dyDescent="0.25">
      <c r="A8" s="21">
        <v>82000</v>
      </c>
      <c r="B8">
        <f>(55%*A8)</f>
        <v>45100.000000000007</v>
      </c>
    </row>
    <row r="9" spans="1:6" x14ac:dyDescent="0.25">
      <c r="C9">
        <f>(30%*B8)</f>
        <v>13530.000000000002</v>
      </c>
    </row>
    <row r="10" spans="1:6" x14ac:dyDescent="0.25">
      <c r="A10">
        <v>52000</v>
      </c>
      <c r="B10">
        <f>(15%*A10)</f>
        <v>7800</v>
      </c>
    </row>
    <row r="11" spans="1:6" x14ac:dyDescent="0.25">
      <c r="A11">
        <v>82000</v>
      </c>
      <c r="B11">
        <f>(15%*A11)</f>
        <v>12300</v>
      </c>
    </row>
    <row r="12" spans="1:6" x14ac:dyDescent="0.25">
      <c r="A12">
        <v>107000</v>
      </c>
      <c r="B12">
        <f>(15%*A12)</f>
        <v>16050</v>
      </c>
    </row>
    <row r="13" spans="1:6" x14ac:dyDescent="0.25">
      <c r="A13">
        <v>220000</v>
      </c>
      <c r="B13">
        <f>(15%*A13)</f>
        <v>33000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opLeftCell="A6" workbookViewId="0">
      <selection activeCell="M21" sqref="M21"/>
    </sheetView>
  </sheetViews>
  <sheetFormatPr defaultRowHeight="15" x14ac:dyDescent="0.25"/>
  <cols>
    <col min="1" max="1" width="17.85546875" bestFit="1" customWidth="1"/>
    <col min="2" max="2" width="12.7109375" bestFit="1" customWidth="1"/>
    <col min="3" max="3" width="13.85546875" bestFit="1" customWidth="1"/>
    <col min="4" max="4" width="12.7109375" style="1" bestFit="1" customWidth="1"/>
    <col min="6" max="6" width="13.85546875" bestFit="1" customWidth="1"/>
    <col min="7" max="7" width="12.7109375" style="55" bestFit="1" customWidth="1"/>
    <col min="8" max="8" width="10.7109375" bestFit="1" customWidth="1"/>
    <col min="9" max="9" width="13.85546875" bestFit="1" customWidth="1"/>
    <col min="10" max="10" width="12.7109375" style="50" bestFit="1" customWidth="1"/>
    <col min="11" max="11" width="10.7109375" bestFit="1" customWidth="1"/>
    <col min="12" max="12" width="13.85546875" bestFit="1" customWidth="1"/>
    <col min="13" max="13" width="12.7109375" style="62" bestFit="1" customWidth="1"/>
    <col min="14" max="14" width="10.7109375" bestFit="1" customWidth="1"/>
    <col min="15" max="15" width="13.85546875" bestFit="1" customWidth="1"/>
    <col min="16" max="16" width="9.140625" style="55"/>
    <col min="17" max="17" width="10.7109375" bestFit="1" customWidth="1"/>
  </cols>
  <sheetData>
    <row r="1" spans="1:18" s="1" customFormat="1" x14ac:dyDescent="0.25">
      <c r="A1" s="1" t="s">
        <v>47</v>
      </c>
      <c r="B1" s="1" t="s">
        <v>48</v>
      </c>
      <c r="C1" s="1" t="s">
        <v>36</v>
      </c>
      <c r="E1" s="1" t="s">
        <v>48</v>
      </c>
      <c r="F1" s="1" t="s">
        <v>36</v>
      </c>
      <c r="G1" s="59"/>
      <c r="H1" s="1" t="s">
        <v>48</v>
      </c>
      <c r="I1" s="1" t="s">
        <v>36</v>
      </c>
      <c r="J1" s="54"/>
      <c r="K1" s="1" t="s">
        <v>48</v>
      </c>
      <c r="L1" s="1" t="s">
        <v>36</v>
      </c>
      <c r="M1" s="66"/>
      <c r="N1" s="1" t="s">
        <v>48</v>
      </c>
      <c r="O1" s="1" t="s">
        <v>36</v>
      </c>
      <c r="P1" s="59"/>
      <c r="Q1" s="1" t="s">
        <v>48</v>
      </c>
      <c r="R1" s="1" t="s">
        <v>36</v>
      </c>
    </row>
    <row r="2" spans="1:18" ht="15.75" thickBot="1" x14ac:dyDescent="0.3">
      <c r="A2" s="46">
        <v>155400</v>
      </c>
      <c r="B2" s="46">
        <f>(A2-A17)</f>
        <v>25900</v>
      </c>
      <c r="C2" s="46">
        <f>(B2^2)</f>
        <v>670810000</v>
      </c>
      <c r="D2" s="48">
        <v>163170</v>
      </c>
      <c r="E2" s="46">
        <f>(D2-D17)</f>
        <v>27195</v>
      </c>
      <c r="F2" s="46">
        <f>(E2^2)</f>
        <v>739568025</v>
      </c>
      <c r="G2" s="56">
        <v>173776</v>
      </c>
      <c r="H2" s="46">
        <f>(G2-G17)</f>
        <v>28962.75</v>
      </c>
      <c r="I2" s="46">
        <f>(H2^2)</f>
        <v>838840887.5625</v>
      </c>
      <c r="J2" s="51">
        <v>188547</v>
      </c>
      <c r="K2" s="46">
        <f>(J2-J17)</f>
        <v>31424.5</v>
      </c>
      <c r="L2" s="46">
        <f>(K2^2)</f>
        <v>987499200.25</v>
      </c>
      <c r="M2" s="63">
        <v>204574</v>
      </c>
      <c r="N2" s="46">
        <f>(M2-M17)</f>
        <v>34095.833333333343</v>
      </c>
      <c r="O2" s="46">
        <f>(N2^2)</f>
        <v>1162525850.6944451</v>
      </c>
      <c r="P2" s="56">
        <v>221962</v>
      </c>
      <c r="Q2" s="46">
        <f>(P2-P17)</f>
        <v>0</v>
      </c>
      <c r="R2" s="46">
        <f>(Q2^2)</f>
        <v>0</v>
      </c>
    </row>
    <row r="3" spans="1:18" ht="15.75" thickBot="1" x14ac:dyDescent="0.3">
      <c r="A3" s="46">
        <v>155400</v>
      </c>
      <c r="B3" s="46">
        <f>(A3-A17)</f>
        <v>25900</v>
      </c>
      <c r="C3" s="46">
        <f t="shared" ref="C3:C13" si="0">(B3^2)</f>
        <v>670810000</v>
      </c>
      <c r="D3" s="48">
        <v>163170</v>
      </c>
      <c r="E3" s="46">
        <f>(D3-D17)</f>
        <v>27195</v>
      </c>
      <c r="F3" s="46">
        <f t="shared" ref="F3:F13" si="1">(E3^2)</f>
        <v>739568025</v>
      </c>
      <c r="G3" s="56">
        <v>173776</v>
      </c>
      <c r="H3" s="46">
        <f>(G3-G17)</f>
        <v>28962.75</v>
      </c>
      <c r="I3" s="46">
        <f t="shared" ref="I3:I13" si="2">(H3^2)</f>
        <v>838840887.5625</v>
      </c>
      <c r="J3" s="51">
        <v>188547</v>
      </c>
      <c r="K3" s="46">
        <f>(J3-J17)</f>
        <v>31424.5</v>
      </c>
      <c r="L3" s="46">
        <f t="shared" ref="L3:L13" si="3">(K3^2)</f>
        <v>987499200.25</v>
      </c>
      <c r="M3" s="63">
        <v>204574</v>
      </c>
      <c r="N3" s="46">
        <f>(M3-M17)</f>
        <v>34095.833333333343</v>
      </c>
      <c r="O3" s="46">
        <f t="shared" ref="O3:O13" si="4">(N3^2)</f>
        <v>1162525850.6944451</v>
      </c>
      <c r="P3" s="56">
        <v>221962</v>
      </c>
      <c r="Q3" s="46">
        <f>(P3-P17)</f>
        <v>0</v>
      </c>
      <c r="R3" s="46">
        <f t="shared" ref="R3" si="5">(Q3^2)</f>
        <v>0</v>
      </c>
    </row>
    <row r="4" spans="1:18" ht="15.75" thickBot="1" x14ac:dyDescent="0.3">
      <c r="A4" s="46">
        <v>155400</v>
      </c>
      <c r="B4" s="46">
        <f>(A4-A17)</f>
        <v>25900</v>
      </c>
      <c r="C4" s="46">
        <f t="shared" si="0"/>
        <v>670810000</v>
      </c>
      <c r="D4" s="48">
        <v>163170</v>
      </c>
      <c r="E4" s="46">
        <f>(D4-D17)</f>
        <v>27195</v>
      </c>
      <c r="F4" s="46">
        <f t="shared" si="1"/>
        <v>739568025</v>
      </c>
      <c r="G4" s="56">
        <v>173776</v>
      </c>
      <c r="H4" s="46">
        <f>(G4-G17)</f>
        <v>28962.75</v>
      </c>
      <c r="I4" s="46">
        <f t="shared" si="2"/>
        <v>838840887.5625</v>
      </c>
      <c r="J4" s="51">
        <v>188547</v>
      </c>
      <c r="K4" s="46">
        <f>(J4-J17)</f>
        <v>31424.5</v>
      </c>
      <c r="L4" s="46">
        <f t="shared" si="3"/>
        <v>987499200.25</v>
      </c>
      <c r="M4" s="63">
        <v>204574</v>
      </c>
      <c r="N4" s="46">
        <f>(M4-M17)</f>
        <v>34095.833333333343</v>
      </c>
      <c r="O4" s="46">
        <f t="shared" si="4"/>
        <v>1162525850.6944451</v>
      </c>
      <c r="P4" s="57"/>
    </row>
    <row r="5" spans="1:18" ht="15.75" thickBot="1" x14ac:dyDescent="0.3">
      <c r="A5" s="46">
        <v>155400</v>
      </c>
      <c r="B5" s="46">
        <f>(A5-A17)</f>
        <v>25900</v>
      </c>
      <c r="C5" s="46">
        <f t="shared" si="0"/>
        <v>670810000</v>
      </c>
      <c r="D5" s="48">
        <v>163170</v>
      </c>
      <c r="E5" s="46">
        <f>(D5-D17)</f>
        <v>27195</v>
      </c>
      <c r="F5" s="46">
        <f t="shared" si="1"/>
        <v>739568025</v>
      </c>
      <c r="G5" s="56">
        <v>173776</v>
      </c>
      <c r="H5" s="46">
        <f>(G5-G17)</f>
        <v>28962.75</v>
      </c>
      <c r="I5" s="46">
        <f t="shared" si="2"/>
        <v>838840887.5625</v>
      </c>
      <c r="J5" s="51">
        <v>188547</v>
      </c>
      <c r="K5" s="46">
        <f>(J5-J17)</f>
        <v>31424.5</v>
      </c>
      <c r="L5" s="46">
        <f t="shared" si="3"/>
        <v>987499200.25</v>
      </c>
      <c r="M5" s="63">
        <v>204574</v>
      </c>
      <c r="N5" s="46">
        <f>(M5-M17)</f>
        <v>34095.833333333343</v>
      </c>
      <c r="O5" s="46">
        <f t="shared" si="4"/>
        <v>1162525850.6944451</v>
      </c>
      <c r="P5" s="57"/>
    </row>
    <row r="6" spans="1:18" ht="15.75" thickBot="1" x14ac:dyDescent="0.3">
      <c r="A6" s="46">
        <v>139860</v>
      </c>
      <c r="B6" s="46">
        <f>(A6-A17)</f>
        <v>10360</v>
      </c>
      <c r="C6" s="46">
        <f t="shared" si="0"/>
        <v>107329600</v>
      </c>
      <c r="D6" s="48">
        <v>146853</v>
      </c>
      <c r="E6" s="46">
        <f>(D6-D17)</f>
        <v>10878</v>
      </c>
      <c r="F6" s="46">
        <f t="shared" si="1"/>
        <v>118330884</v>
      </c>
      <c r="G6" s="56">
        <v>156398</v>
      </c>
      <c r="H6" s="46">
        <f>(G6-G17)</f>
        <v>11584.75</v>
      </c>
      <c r="I6" s="46">
        <f t="shared" si="2"/>
        <v>134206432.5625</v>
      </c>
      <c r="J6" s="51">
        <v>169692</v>
      </c>
      <c r="K6" s="46">
        <f>(J6-J17)</f>
        <v>12569.5</v>
      </c>
      <c r="L6" s="46">
        <f t="shared" si="3"/>
        <v>157992330.25</v>
      </c>
      <c r="M6" s="63">
        <v>184116</v>
      </c>
      <c r="N6" s="46">
        <f>(M6-M17)</f>
        <v>13637.833333333343</v>
      </c>
      <c r="O6" s="46">
        <f t="shared" si="4"/>
        <v>185990498.02777803</v>
      </c>
      <c r="P6" s="57"/>
    </row>
    <row r="7" spans="1:18" ht="15.75" thickBot="1" x14ac:dyDescent="0.3">
      <c r="A7" s="46">
        <v>139860</v>
      </c>
      <c r="B7" s="46">
        <f>(A7-A17)</f>
        <v>10360</v>
      </c>
      <c r="C7" s="46">
        <f t="shared" si="0"/>
        <v>107329600</v>
      </c>
      <c r="D7" s="48">
        <v>146853</v>
      </c>
      <c r="E7" s="46">
        <f>(D7-D17)</f>
        <v>10878</v>
      </c>
      <c r="F7" s="46">
        <f t="shared" si="1"/>
        <v>118330884</v>
      </c>
      <c r="G7" s="56">
        <v>156398</v>
      </c>
      <c r="H7" s="46">
        <f>(G7-G17)</f>
        <v>11584.75</v>
      </c>
      <c r="I7" s="46">
        <f t="shared" si="2"/>
        <v>134206432.5625</v>
      </c>
      <c r="J7" s="51">
        <v>169692</v>
      </c>
      <c r="K7" s="46">
        <f>(J7-J17)</f>
        <v>12569.5</v>
      </c>
      <c r="L7" s="46">
        <f t="shared" si="3"/>
        <v>157992330.25</v>
      </c>
      <c r="M7" s="63">
        <v>184116</v>
      </c>
      <c r="N7" s="46">
        <f>(M7-M17)</f>
        <v>13637.833333333343</v>
      </c>
      <c r="O7" s="46">
        <f t="shared" si="4"/>
        <v>185990498.02777803</v>
      </c>
      <c r="P7" s="57"/>
    </row>
    <row r="8" spans="1:18" ht="15.75" thickBot="1" x14ac:dyDescent="0.3">
      <c r="A8" s="46">
        <v>31080</v>
      </c>
      <c r="B8" s="46">
        <f>(A8-A17)</f>
        <v>-98420</v>
      </c>
      <c r="C8" s="46">
        <f t="shared" si="0"/>
        <v>9686496400</v>
      </c>
      <c r="D8" s="48">
        <v>32634</v>
      </c>
      <c r="E8" s="46">
        <f>(D8-D17)</f>
        <v>-103341</v>
      </c>
      <c r="F8" s="46">
        <f t="shared" si="1"/>
        <v>10679362281</v>
      </c>
      <c r="G8" s="56">
        <v>34755</v>
      </c>
      <c r="H8" s="46">
        <f>(G8-G17)</f>
        <v>-110058.25</v>
      </c>
      <c r="I8" s="46">
        <f t="shared" si="2"/>
        <v>12112818393.0625</v>
      </c>
      <c r="J8" s="51">
        <v>37709</v>
      </c>
      <c r="K8" s="46">
        <f>(J8-J17)</f>
        <v>-119413.5</v>
      </c>
      <c r="L8" s="46">
        <f t="shared" si="3"/>
        <v>14259583982.25</v>
      </c>
      <c r="M8" s="63">
        <v>40915</v>
      </c>
      <c r="N8" s="46">
        <f>(M8-M17)</f>
        <v>-129563.16666666666</v>
      </c>
      <c r="O8" s="46">
        <f t="shared" si="4"/>
        <v>16786614156.694443</v>
      </c>
      <c r="P8" s="57"/>
    </row>
    <row r="9" spans="1:18" ht="15.75" thickBot="1" x14ac:dyDescent="0.3">
      <c r="A9" s="46">
        <v>62160</v>
      </c>
      <c r="B9" s="46">
        <f>(A9-A17)</f>
        <v>-67340</v>
      </c>
      <c r="C9" s="46">
        <f t="shared" si="0"/>
        <v>4534675600</v>
      </c>
      <c r="D9" s="48">
        <v>65268</v>
      </c>
      <c r="E9" s="46">
        <f>(D9-D17)</f>
        <v>-70707</v>
      </c>
      <c r="F9" s="46">
        <f t="shared" si="1"/>
        <v>4999479849</v>
      </c>
      <c r="G9" s="56">
        <v>69510</v>
      </c>
      <c r="H9" s="46">
        <f>(G9-G17)</f>
        <v>-75303.25</v>
      </c>
      <c r="I9" s="46">
        <f t="shared" si="2"/>
        <v>5670579460.5625</v>
      </c>
      <c r="J9" s="51">
        <v>75419</v>
      </c>
      <c r="K9" s="46">
        <f>(J9-J17)</f>
        <v>-81703.5</v>
      </c>
      <c r="L9" s="46">
        <f t="shared" si="3"/>
        <v>6675461912.25</v>
      </c>
      <c r="M9" s="63">
        <v>81829</v>
      </c>
      <c r="N9" s="46">
        <f>(M9-M17)</f>
        <v>-88649.166666666657</v>
      </c>
      <c r="O9" s="46">
        <f t="shared" si="4"/>
        <v>7858674750.6944427</v>
      </c>
      <c r="P9" s="57"/>
    </row>
    <row r="10" spans="1:18" ht="15.75" thickBot="1" x14ac:dyDescent="0.3">
      <c r="A10" s="46">
        <v>77700</v>
      </c>
      <c r="B10" s="46">
        <f>(A10-A17)</f>
        <v>-51800</v>
      </c>
      <c r="C10" s="46">
        <f t="shared" si="0"/>
        <v>2683240000</v>
      </c>
      <c r="D10" s="48">
        <v>81585</v>
      </c>
      <c r="E10" s="46">
        <f>(D10-D17)</f>
        <v>-54390</v>
      </c>
      <c r="F10" s="46">
        <f t="shared" si="1"/>
        <v>2958272100</v>
      </c>
      <c r="G10" s="56">
        <v>86888</v>
      </c>
      <c r="H10" s="46">
        <f>(G10-G17)</f>
        <v>-57925.25</v>
      </c>
      <c r="I10" s="46">
        <f t="shared" si="2"/>
        <v>3355334587.5625</v>
      </c>
      <c r="J10" s="51">
        <v>94274</v>
      </c>
      <c r="K10" s="46">
        <f>(J10-J17)</f>
        <v>-62848.5</v>
      </c>
      <c r="L10" s="46">
        <f t="shared" si="3"/>
        <v>3949933952.25</v>
      </c>
      <c r="M10" s="63">
        <v>102287</v>
      </c>
      <c r="N10" s="46">
        <f>(M10-M17)</f>
        <v>-68191.166666666657</v>
      </c>
      <c r="O10" s="46">
        <f t="shared" si="4"/>
        <v>4650035211.3611097</v>
      </c>
      <c r="P10" s="57"/>
    </row>
    <row r="11" spans="1:18" ht="15.75" thickBot="1" x14ac:dyDescent="0.3">
      <c r="A11" s="46">
        <v>155400</v>
      </c>
      <c r="B11" s="46">
        <f>(A11-A17)</f>
        <v>25900</v>
      </c>
      <c r="C11" s="46">
        <f t="shared" si="0"/>
        <v>670810000</v>
      </c>
      <c r="D11" s="48">
        <v>163170</v>
      </c>
      <c r="E11" s="46">
        <f>(D11-D17)</f>
        <v>27195</v>
      </c>
      <c r="F11" s="46">
        <f t="shared" si="1"/>
        <v>739568025</v>
      </c>
      <c r="G11" s="56">
        <v>173776</v>
      </c>
      <c r="H11" s="46">
        <f>(G11-G17)</f>
        <v>28962.75</v>
      </c>
      <c r="I11" s="46">
        <f t="shared" si="2"/>
        <v>838840887.5625</v>
      </c>
      <c r="J11" s="51">
        <v>188547</v>
      </c>
      <c r="K11" s="46">
        <f>(J11-J17)</f>
        <v>31424.5</v>
      </c>
      <c r="L11" s="46">
        <f t="shared" si="3"/>
        <v>987499200.25</v>
      </c>
      <c r="M11" s="63">
        <v>204574</v>
      </c>
      <c r="N11" s="46">
        <f>(M11-M17)</f>
        <v>34095.833333333343</v>
      </c>
      <c r="O11" s="46">
        <f t="shared" si="4"/>
        <v>1162525850.6944451</v>
      </c>
      <c r="P11" s="57"/>
    </row>
    <row r="12" spans="1:18" ht="15.75" thickBot="1" x14ac:dyDescent="0.3">
      <c r="A12" s="46">
        <v>155400</v>
      </c>
      <c r="B12" s="46">
        <f>(A12-A17)</f>
        <v>25900</v>
      </c>
      <c r="C12" s="46">
        <f t="shared" si="0"/>
        <v>670810000</v>
      </c>
      <c r="D12" s="48">
        <v>163170</v>
      </c>
      <c r="E12" s="46">
        <f>(D12-D17)</f>
        <v>27195</v>
      </c>
      <c r="F12" s="46">
        <f t="shared" si="1"/>
        <v>739568025</v>
      </c>
      <c r="G12" s="56">
        <v>173776</v>
      </c>
      <c r="H12" s="46">
        <f>(G12-G17)</f>
        <v>28962.75</v>
      </c>
      <c r="I12" s="46">
        <f t="shared" si="2"/>
        <v>838840887.5625</v>
      </c>
      <c r="J12" s="51">
        <v>188547</v>
      </c>
      <c r="K12" s="46">
        <f>(J12-J17)</f>
        <v>31424.5</v>
      </c>
      <c r="L12" s="46">
        <f t="shared" si="3"/>
        <v>987499200.25</v>
      </c>
      <c r="M12" s="63">
        <v>204574</v>
      </c>
      <c r="N12" s="46">
        <f>(M12-M17)</f>
        <v>34095.833333333343</v>
      </c>
      <c r="O12" s="46">
        <f t="shared" si="4"/>
        <v>1162525850.6944451</v>
      </c>
      <c r="P12" s="57"/>
    </row>
    <row r="13" spans="1:18" ht="15.75" thickBot="1" x14ac:dyDescent="0.3">
      <c r="A13" s="46">
        <v>170940</v>
      </c>
      <c r="B13" s="46">
        <f>(A13-A17)</f>
        <v>41440</v>
      </c>
      <c r="C13" s="46">
        <f t="shared" si="0"/>
        <v>1717273600</v>
      </c>
      <c r="D13" s="48">
        <v>179487</v>
      </c>
      <c r="E13" s="46">
        <f>(D13-D17)</f>
        <v>43512</v>
      </c>
      <c r="F13" s="46">
        <f t="shared" si="1"/>
        <v>1893294144</v>
      </c>
      <c r="G13" s="56">
        <v>191154</v>
      </c>
      <c r="H13" s="46">
        <f>(G13-G17)</f>
        <v>46340.75</v>
      </c>
      <c r="I13" s="46">
        <f t="shared" si="2"/>
        <v>2147465110.5625</v>
      </c>
      <c r="J13" s="51">
        <v>207402</v>
      </c>
      <c r="K13" s="46">
        <f>(J13-J17)</f>
        <v>50279.5</v>
      </c>
      <c r="L13" s="46">
        <f t="shared" si="3"/>
        <v>2528028120.25</v>
      </c>
      <c r="M13" s="63">
        <v>225031</v>
      </c>
      <c r="N13" s="46">
        <f>(M13-M17)</f>
        <v>54552.833333333343</v>
      </c>
      <c r="O13" s="46">
        <f t="shared" si="4"/>
        <v>2976011624.6944456</v>
      </c>
      <c r="P13" s="57"/>
    </row>
    <row r="14" spans="1:18" ht="15.75" thickBot="1" x14ac:dyDescent="0.3">
      <c r="A14" s="47"/>
      <c r="B14" s="46"/>
      <c r="C14" s="47"/>
      <c r="D14" s="49"/>
      <c r="E14" s="47"/>
      <c r="F14" s="47"/>
      <c r="G14" s="57"/>
      <c r="H14" s="47"/>
      <c r="I14" s="47"/>
      <c r="J14" s="52"/>
      <c r="K14" s="47"/>
      <c r="L14" s="47"/>
      <c r="M14" s="64"/>
      <c r="N14" s="47"/>
      <c r="O14" s="47"/>
      <c r="P14" s="57"/>
    </row>
    <row r="15" spans="1:18" ht="15.75" thickBot="1" x14ac:dyDescent="0.3">
      <c r="A15" s="48">
        <v>1554000</v>
      </c>
      <c r="B15" s="46"/>
      <c r="C15" s="61">
        <f>(C13+C12+C11+C10+C9+C8+C7+C6+C5+C4+C3+C2)</f>
        <v>22861204800</v>
      </c>
      <c r="D15" s="48">
        <v>1631700</v>
      </c>
      <c r="E15" s="48"/>
      <c r="F15" s="60">
        <f>(F13+F12+F11+F10+F9+F8+F7+F6+F5+F4+F3+F2)</f>
        <v>25204478292</v>
      </c>
      <c r="G15" s="58">
        <v>1737759</v>
      </c>
      <c r="H15" s="48"/>
      <c r="I15" s="60">
        <f>(I13+I12+I11+I10+I9+I8+I7+I6+I5+I4+I3+I2)</f>
        <v>28587655742.25</v>
      </c>
      <c r="J15" s="53">
        <v>1885470</v>
      </c>
      <c r="K15" s="48"/>
      <c r="L15" s="60">
        <f>(L13+L12+L11+L10+L9+L8+L7+L6+L5+L4+L3+L2)</f>
        <v>33653987829</v>
      </c>
      <c r="M15" s="65">
        <v>2045738</v>
      </c>
      <c r="N15" s="48"/>
      <c r="O15" s="60">
        <f>(O13+O12+O11+O10+O9+O8+O7+O6+O5+O4+O3+O2)</f>
        <v>39618471843.666656</v>
      </c>
      <c r="P15" s="58">
        <v>443924</v>
      </c>
    </row>
    <row r="16" spans="1:18" x14ac:dyDescent="0.25">
      <c r="A16" s="8" t="s">
        <v>35</v>
      </c>
      <c r="B16" s="8"/>
      <c r="C16" s="8"/>
    </row>
    <row r="17" spans="1:16" s="1" customFormat="1" x14ac:dyDescent="0.25">
      <c r="A17" s="45">
        <f>(A15/12)</f>
        <v>129500</v>
      </c>
      <c r="D17" s="1">
        <f>(D15/12)</f>
        <v>135975</v>
      </c>
      <c r="G17" s="59">
        <f>(G15/12)</f>
        <v>144813.25</v>
      </c>
      <c r="J17" s="54">
        <f>(J15/12)</f>
        <v>157122.5</v>
      </c>
      <c r="M17" s="66">
        <f>(M15/12)</f>
        <v>170478.16666666666</v>
      </c>
      <c r="P17" s="59">
        <f>(P15/2)</f>
        <v>221962</v>
      </c>
    </row>
    <row r="18" spans="1:16" x14ac:dyDescent="0.25">
      <c r="A18" t="s">
        <v>37</v>
      </c>
    </row>
    <row r="19" spans="1:16" x14ac:dyDescent="0.25">
      <c r="A19" s="21">
        <f>(C15/(12-1))</f>
        <v>2078291345.4545455</v>
      </c>
      <c r="B19" s="21"/>
      <c r="C19" s="21"/>
      <c r="D19" s="21">
        <f>(F15/(12-1))</f>
        <v>2291316208.3636365</v>
      </c>
      <c r="G19" s="21">
        <f>(I15/(12-1))</f>
        <v>2598877794.75</v>
      </c>
      <c r="J19" s="21">
        <f>(L15/(12-1))</f>
        <v>3059453439</v>
      </c>
      <c r="M19" s="21">
        <f>(O15/(12-1))</f>
        <v>3601679258.5151505</v>
      </c>
    </row>
    <row r="20" spans="1:16" x14ac:dyDescent="0.25">
      <c r="A20" s="21"/>
      <c r="B20" s="21">
        <v>2078291345</v>
      </c>
    </row>
    <row r="21" spans="1:16" x14ac:dyDescent="0.25">
      <c r="B21">
        <f>SQRT(B20)</f>
        <v>45588.280785745803</v>
      </c>
      <c r="D21" s="1">
        <f>SQRT(D19)</f>
        <v>47867.69483026769</v>
      </c>
      <c r="E21" s="1">
        <f t="shared" ref="E21:P21" si="6">SQRT(E19)</f>
        <v>0</v>
      </c>
      <c r="F21" s="1">
        <f t="shared" si="6"/>
        <v>0</v>
      </c>
      <c r="G21" s="1">
        <f t="shared" si="6"/>
        <v>50979.189820455169</v>
      </c>
      <c r="H21" s="1">
        <f t="shared" si="6"/>
        <v>0</v>
      </c>
      <c r="I21" s="1">
        <f t="shared" si="6"/>
        <v>0</v>
      </c>
      <c r="J21" s="1">
        <f t="shared" si="6"/>
        <v>55312.326284472976</v>
      </c>
      <c r="K21" s="1">
        <f t="shared" si="6"/>
        <v>0</v>
      </c>
      <c r="L21" s="1">
        <f t="shared" si="6"/>
        <v>0</v>
      </c>
      <c r="M21" s="1">
        <f t="shared" si="6"/>
        <v>60013.99218944821</v>
      </c>
      <c r="N21" s="1">
        <f t="shared" si="6"/>
        <v>0</v>
      </c>
      <c r="O21" s="1">
        <f t="shared" si="6"/>
        <v>0</v>
      </c>
      <c r="P21" s="1">
        <f t="shared" si="6"/>
        <v>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opLeftCell="K1" workbookViewId="0">
      <selection activeCell="P13" sqref="P13"/>
    </sheetView>
  </sheetViews>
  <sheetFormatPr defaultRowHeight="15" x14ac:dyDescent="0.25"/>
  <cols>
    <col min="1" max="1" width="10.140625" bestFit="1" customWidth="1"/>
    <col min="3" max="3" width="14.85546875" bestFit="1" customWidth="1"/>
    <col min="4" max="4" width="15.28515625" style="62" bestFit="1" customWidth="1"/>
    <col min="6" max="6" width="10.140625" bestFit="1" customWidth="1"/>
    <col min="7" max="7" width="14.28515625" style="72" bestFit="1" customWidth="1"/>
    <col min="9" max="9" width="14.85546875" bestFit="1" customWidth="1"/>
    <col min="10" max="10" width="14.28515625" style="76" bestFit="1" customWidth="1"/>
    <col min="12" max="12" width="13.85546875" bestFit="1" customWidth="1"/>
    <col min="13" max="13" width="15.28515625" style="79" bestFit="1" customWidth="1"/>
    <col min="15" max="15" width="14.85546875" bestFit="1" customWidth="1"/>
  </cols>
  <sheetData>
    <row r="1" spans="1:19" ht="15.75" thickBot="1" x14ac:dyDescent="0.3">
      <c r="A1" s="67" t="s">
        <v>38</v>
      </c>
      <c r="B1" s="67" t="s">
        <v>44</v>
      </c>
      <c r="C1" s="67" t="s">
        <v>45</v>
      </c>
      <c r="D1" s="68" t="s">
        <v>39</v>
      </c>
      <c r="E1" s="67"/>
      <c r="F1" s="67" t="s">
        <v>45</v>
      </c>
      <c r="G1" s="69" t="s">
        <v>40</v>
      </c>
      <c r="H1" s="67"/>
      <c r="I1" s="67" t="s">
        <v>45</v>
      </c>
      <c r="J1" s="73" t="s">
        <v>41</v>
      </c>
      <c r="K1" s="67"/>
      <c r="L1" s="67"/>
      <c r="M1" s="77" t="s">
        <v>42</v>
      </c>
      <c r="S1" s="47"/>
    </row>
    <row r="2" spans="1:19" ht="15.75" thickBot="1" x14ac:dyDescent="0.3">
      <c r="A2" s="46">
        <v>139860</v>
      </c>
      <c r="B2" s="46">
        <f>(A2-A9)</f>
        <v>-19523.799999999988</v>
      </c>
      <c r="C2" s="46">
        <f>(B2^2)</f>
        <v>381178766.43999952</v>
      </c>
      <c r="D2" s="63">
        <v>31080</v>
      </c>
      <c r="E2" s="46">
        <f>(D2-D9)</f>
        <v>-4338.5999999999985</v>
      </c>
      <c r="F2" s="46">
        <f>(E2^2)</f>
        <v>18823449.959999986</v>
      </c>
      <c r="G2" s="70">
        <v>62160</v>
      </c>
      <c r="H2" s="46">
        <f t="shared" ref="H2" si="0">(G2-G9)</f>
        <v>-8677.1999999999971</v>
      </c>
      <c r="I2" s="46">
        <f t="shared" ref="I2:I6" si="1">(H2^2)</f>
        <v>75293799.839999944</v>
      </c>
      <c r="J2" s="74">
        <v>77700</v>
      </c>
      <c r="K2" s="46">
        <f t="shared" ref="K2" si="2">(J2-J9)</f>
        <v>-10846.800000000003</v>
      </c>
      <c r="L2" s="46">
        <f t="shared" ref="L2:L6" si="3">(K2^2)</f>
        <v>117653070.24000007</v>
      </c>
      <c r="M2" s="78">
        <v>155400</v>
      </c>
      <c r="N2" s="46">
        <f t="shared" ref="N2" si="4">(M2-M9)</f>
        <v>-21693.399999999994</v>
      </c>
      <c r="O2" s="46">
        <f t="shared" ref="O2:O6" si="5">(N2^2)</f>
        <v>470603603.55999976</v>
      </c>
    </row>
    <row r="3" spans="1:19" ht="15.75" thickBot="1" x14ac:dyDescent="0.3">
      <c r="A3" s="46">
        <v>146853</v>
      </c>
      <c r="B3" s="46">
        <f>(A3-A9)</f>
        <v>-12530.799999999988</v>
      </c>
      <c r="C3" s="46">
        <f t="shared" ref="C3:C6" si="6">(B3^2)</f>
        <v>157020948.63999972</v>
      </c>
      <c r="D3" s="63">
        <v>32634</v>
      </c>
      <c r="E3" s="46">
        <f>(D3-D9)</f>
        <v>-2784.5999999999985</v>
      </c>
      <c r="F3" s="46">
        <f t="shared" ref="F3:F6" si="7">(E3^2)</f>
        <v>7753997.1599999918</v>
      </c>
      <c r="G3" s="70">
        <v>65268</v>
      </c>
      <c r="H3" s="46">
        <f t="shared" ref="H3" si="8">(G3-G9)</f>
        <v>-5569.1999999999971</v>
      </c>
      <c r="I3" s="46">
        <f t="shared" si="1"/>
        <v>31015988.639999967</v>
      </c>
      <c r="J3" s="74">
        <v>81585</v>
      </c>
      <c r="K3" s="46">
        <f t="shared" ref="K3" si="9">(J3-J9)</f>
        <v>-6961.8000000000029</v>
      </c>
      <c r="L3" s="46">
        <f t="shared" si="3"/>
        <v>48466659.240000039</v>
      </c>
      <c r="M3" s="78">
        <v>163170</v>
      </c>
      <c r="N3" s="46">
        <f t="shared" ref="N3" si="10">(M3-M9)</f>
        <v>-13923.399999999994</v>
      </c>
      <c r="O3" s="46">
        <f t="shared" si="5"/>
        <v>193861067.55999982</v>
      </c>
    </row>
    <row r="4" spans="1:19" ht="15.75" thickBot="1" x14ac:dyDescent="0.3">
      <c r="A4" s="46">
        <v>156398</v>
      </c>
      <c r="B4" s="46">
        <f>(A4-A9)</f>
        <v>-2985.7999999999884</v>
      </c>
      <c r="C4" s="46">
        <f t="shared" si="6"/>
        <v>8915001.6399999298</v>
      </c>
      <c r="D4" s="63">
        <v>34755</v>
      </c>
      <c r="E4" s="46">
        <f>(D4-D9)</f>
        <v>-663.59999999999854</v>
      </c>
      <c r="F4" s="46">
        <f t="shared" si="7"/>
        <v>440364.95999999804</v>
      </c>
      <c r="G4" s="70">
        <v>69510</v>
      </c>
      <c r="H4" s="46">
        <f>(G4-G9)</f>
        <v>-1327.1999999999971</v>
      </c>
      <c r="I4" s="46">
        <f t="shared" si="1"/>
        <v>1761459.8399999922</v>
      </c>
      <c r="J4" s="74">
        <v>86888</v>
      </c>
      <c r="K4" s="46">
        <f>(J4-J9)</f>
        <v>-1658.8000000000029</v>
      </c>
      <c r="L4" s="46">
        <f t="shared" si="3"/>
        <v>2751617.4400000097</v>
      </c>
      <c r="M4" s="78">
        <v>173776</v>
      </c>
      <c r="N4" s="46">
        <f>(M4-M9)</f>
        <v>-3317.3999999999942</v>
      </c>
      <c r="O4" s="46">
        <f t="shared" si="5"/>
        <v>11005142.759999961</v>
      </c>
    </row>
    <row r="5" spans="1:19" ht="15.75" thickBot="1" x14ac:dyDescent="0.3">
      <c r="A5" s="46">
        <v>169692</v>
      </c>
      <c r="B5" s="46">
        <f>(A5-A9)</f>
        <v>10308.200000000012</v>
      </c>
      <c r="C5" s="46">
        <f t="shared" si="6"/>
        <v>106258987.24000023</v>
      </c>
      <c r="D5" s="63">
        <v>37709</v>
      </c>
      <c r="E5" s="46">
        <f>(D5-D9)</f>
        <v>2290.4000000000015</v>
      </c>
      <c r="F5" s="46">
        <f t="shared" si="7"/>
        <v>5245932.1600000067</v>
      </c>
      <c r="G5" s="70">
        <v>75419</v>
      </c>
      <c r="H5" s="46">
        <f>(G5-G9)</f>
        <v>4581.8000000000029</v>
      </c>
      <c r="I5" s="46">
        <f t="shared" si="1"/>
        <v>20992891.240000028</v>
      </c>
      <c r="J5" s="74">
        <v>94274</v>
      </c>
      <c r="K5" s="46">
        <f>(J5-J9)</f>
        <v>5727.1999999999971</v>
      </c>
      <c r="L5" s="46">
        <f t="shared" si="3"/>
        <v>32800819.839999966</v>
      </c>
      <c r="M5" s="78">
        <v>188547</v>
      </c>
      <c r="N5" s="46">
        <f>(M5-M9)</f>
        <v>11453.600000000006</v>
      </c>
      <c r="O5" s="46">
        <f t="shared" si="5"/>
        <v>131184952.96000013</v>
      </c>
    </row>
    <row r="6" spans="1:19" ht="15.75" thickBot="1" x14ac:dyDescent="0.3">
      <c r="A6" s="46">
        <v>184116</v>
      </c>
      <c r="B6" s="46">
        <f>(A6-A9)</f>
        <v>24732.200000000012</v>
      </c>
      <c r="C6" s="46">
        <f t="shared" si="6"/>
        <v>611681716.84000063</v>
      </c>
      <c r="D6" s="63">
        <v>40915</v>
      </c>
      <c r="E6" s="46">
        <f>(D6-D9)</f>
        <v>5496.4000000000015</v>
      </c>
      <c r="F6" s="46">
        <f t="shared" si="7"/>
        <v>30210412.960000016</v>
      </c>
      <c r="G6" s="70">
        <v>81829</v>
      </c>
      <c r="H6" s="46">
        <f>(G6-G9)</f>
        <v>10991.800000000003</v>
      </c>
      <c r="I6" s="46">
        <f t="shared" si="1"/>
        <v>120819667.24000007</v>
      </c>
      <c r="J6" s="74">
        <v>102287</v>
      </c>
      <c r="K6" s="46">
        <f>(J6-J9)</f>
        <v>13740.199999999997</v>
      </c>
      <c r="L6" s="46">
        <f t="shared" si="3"/>
        <v>188793096.03999993</v>
      </c>
      <c r="M6" s="78">
        <v>204574</v>
      </c>
      <c r="N6" s="46">
        <f>(M6-M9)</f>
        <v>27480.600000000006</v>
      </c>
      <c r="O6" s="46">
        <f t="shared" si="5"/>
        <v>755183376.36000037</v>
      </c>
    </row>
    <row r="7" spans="1:19" s="1" customFormat="1" ht="15.75" thickBot="1" x14ac:dyDescent="0.3">
      <c r="A7" s="48">
        <f>(A6+A5+A4+A3+A2)</f>
        <v>796919</v>
      </c>
      <c r="B7" s="48">
        <f t="shared" ref="B7:M7" si="11">(B6+B5+B4+B3+B2)</f>
        <v>5.8207660913467407E-11</v>
      </c>
      <c r="C7" s="48">
        <f t="shared" si="11"/>
        <v>1265055420.8000002</v>
      </c>
      <c r="D7" s="65">
        <f t="shared" si="11"/>
        <v>177093</v>
      </c>
      <c r="E7" s="48"/>
      <c r="F7" s="48">
        <f t="shared" si="11"/>
        <v>62474157.199999996</v>
      </c>
      <c r="G7" s="71">
        <f t="shared" si="11"/>
        <v>354186</v>
      </c>
      <c r="H7" s="46">
        <v>0</v>
      </c>
      <c r="I7" s="48">
        <f t="shared" si="11"/>
        <v>249883806.80000001</v>
      </c>
      <c r="J7" s="75">
        <f t="shared" si="11"/>
        <v>442734</v>
      </c>
      <c r="K7" s="46">
        <v>0</v>
      </c>
      <c r="L7" s="48">
        <f t="shared" si="11"/>
        <v>390465262.80000001</v>
      </c>
      <c r="M7" s="60">
        <f t="shared" si="11"/>
        <v>885467</v>
      </c>
      <c r="N7" s="46">
        <v>0</v>
      </c>
      <c r="O7" s="48">
        <f t="shared" ref="O7" si="12">(O6+O5+O4+O3+O2)</f>
        <v>1561838143.2</v>
      </c>
    </row>
    <row r="8" spans="1:19" x14ac:dyDescent="0.25">
      <c r="A8" s="1" t="s">
        <v>43</v>
      </c>
    </row>
    <row r="9" spans="1:19" x14ac:dyDescent="0.25">
      <c r="A9">
        <f>(A7/5)</f>
        <v>159383.79999999999</v>
      </c>
      <c r="D9" s="62">
        <f t="shared" ref="D9:M9" si="13">(D7/5)</f>
        <v>35418.6</v>
      </c>
      <c r="G9" s="72">
        <f t="shared" si="13"/>
        <v>70837.2</v>
      </c>
      <c r="J9" s="76">
        <f t="shared" si="13"/>
        <v>88546.8</v>
      </c>
      <c r="M9" s="79">
        <f t="shared" si="13"/>
        <v>177093.4</v>
      </c>
    </row>
    <row r="11" spans="1:19" x14ac:dyDescent="0.25">
      <c r="A11" t="s">
        <v>46</v>
      </c>
    </row>
    <row r="12" spans="1:19" s="1" customFormat="1" x14ac:dyDescent="0.25">
      <c r="A12" s="80">
        <f>(C7/95-1)</f>
        <v>13316371.850526318</v>
      </c>
      <c r="D12" s="81">
        <f>(F7/(5-1))</f>
        <v>15618539.299999999</v>
      </c>
      <c r="G12" s="81">
        <f>(I7/(5-1))</f>
        <v>62470951.700000003</v>
      </c>
      <c r="J12" s="81">
        <f>(L7/(5-1))</f>
        <v>97616315.700000003</v>
      </c>
      <c r="M12" s="81">
        <f>(O7/(5-1))</f>
        <v>390459535.80000001</v>
      </c>
    </row>
    <row r="13" spans="1:19" x14ac:dyDescent="0.25">
      <c r="A13">
        <f>SQRT(A12)</f>
        <v>3649.1604309109675</v>
      </c>
      <c r="B13">
        <f t="shared" ref="B13:M13" si="14">SQRT(B12)</f>
        <v>0</v>
      </c>
      <c r="C13">
        <f t="shared" si="14"/>
        <v>0</v>
      </c>
      <c r="D13">
        <f t="shared" si="14"/>
        <v>3952.0297696247176</v>
      </c>
      <c r="E13">
        <f t="shared" si="14"/>
        <v>0</v>
      </c>
      <c r="F13">
        <f t="shared" si="14"/>
        <v>0</v>
      </c>
      <c r="G13">
        <f t="shared" si="14"/>
        <v>7903.8567611008739</v>
      </c>
      <c r="H13">
        <f t="shared" si="14"/>
        <v>0</v>
      </c>
      <c r="I13">
        <f t="shared" si="14"/>
        <v>0</v>
      </c>
      <c r="J13">
        <f t="shared" si="14"/>
        <v>9880.0969479049145</v>
      </c>
      <c r="K13">
        <f t="shared" si="14"/>
        <v>0</v>
      </c>
      <c r="L13">
        <f t="shared" si="14"/>
        <v>0</v>
      </c>
      <c r="M13">
        <f t="shared" si="14"/>
        <v>19760.048982732813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Cashflow</vt:lpstr>
      <vt:lpstr>Q1 workings</vt:lpstr>
      <vt:lpstr>Q2 workings</vt:lpstr>
      <vt:lpstr>Part 1 Q2</vt:lpstr>
      <vt:lpstr>part 2 Q2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2020-05-11T17:11:05Z</dcterms:created>
  <dcterms:modified xsi:type="dcterms:W3CDTF">2020-05-13T07:05:15Z</dcterms:modified>
</cp:coreProperties>
</file>